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-2" sheetId="5" r:id="rId5"/>
    <sheet name="січень" sheetId="6" r:id="rId6"/>
  </sheets>
  <definedNames>
    <definedName name="_xlnm.Print_Area" localSheetId="5">'січень'!$A$1:$R$87</definedName>
  </definedNames>
  <calcPr fullCalcOnLoad="1"/>
</workbook>
</file>

<file path=xl/sharedStrings.xml><?xml version="1.0" encoding="utf-8"?>
<sst xmlns="http://schemas.openxmlformats.org/spreadsheetml/2006/main" count="760" uniqueCount="170">
  <si>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</si>
  <si>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</si>
  <si>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</si>
  <si>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</si>
  <si>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</si>
  <si>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</si>
  <si>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</si>
  <si>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</si>
  <si>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</si>
  <si>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</si>
  <si>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</si>
  <si>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</si>
  <si>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</si>
  <si>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</si>
  <si>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</si>
  <si>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</si>
  <si>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</si>
  <si>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</si>
  <si>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</si>
  <si>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</si>
  <si>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</si>
  <si>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</si>
  <si>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</si>
  <si>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</si>
  <si>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</si>
  <si>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</si>
  <si>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</si>
  <si>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</si>
  <si>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</si>
  <si>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</si>
  <si>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</si>
  <si>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</si>
  <si>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</si>
  <si>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</si>
  <si>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</si>
  <si>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</si>
  <si>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</si>
  <si>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</si>
  <si>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</si>
  <si>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</si>
  <si>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</si>
  <si>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</si>
  <si>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</si>
  <si>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</si>
  <si>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</si>
  <si>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</si>
  <si>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</si>
  <si>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</si>
  <si>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</si>
  <si>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</si>
  <si>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</si>
  <si>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</si>
  <si>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</si>
  <si>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</si>
  <si>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</si>
  <si>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</si>
  <si>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</si>
  <si>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</si>
  <si>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</si>
  <si>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</si>
  <si>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</si>
  <si>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</si>
  <si>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</si>
  <si>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</si>
  <si>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</si>
  <si>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</si>
  <si>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</si>
  <si>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</si>
  <si>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</si>
  <si>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</si>
  <si>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</si>
  <si>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</si>
  <si>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</si>
  <si>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</si>
  <si>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</si>
  <si>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</si>
  <si>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</si>
  <si>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</si>
  <si>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</si>
  <si>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</si>
  <si>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</si>
  <si>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</si>
  <si>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</si>
  <si>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</si>
  <si>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</si>
  <si>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</si>
  <si>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</si>
  <si>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</si>
  <si>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</si>
  <si>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</si>
  <si>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</si>
  <si>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</si>
  <si>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</si>
  <si>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</si>
  <si>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</si>
  <si>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</si>
  <si>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</si>
  <si>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</si>
  <si>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</si>
  <si>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</si>
  <si>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</si>
  <si>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</si>
  <si>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</si>
  <si>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</si>
  <si>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</si>
  <si>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</si>
  <si>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</si>
  <si>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</si>
  <si>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</si>
  <si>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</si>
  <si>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</si>
  <si>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</si>
  <si>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</si>
  <si>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</si>
  <si>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</si>
  <si>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</si>
  <si>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</si>
  <si>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</si>
  <si>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</si>
  <si>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</si>
  <si>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</si>
  <si>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</si>
  <si>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</si>
  <si>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</si>
  <si>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</si>
  <si>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</si>
  <si>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</si>
  <si>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</si>
  <si>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</si>
  <si>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</si>
  <si>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</si>
  <si>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</si>
  <si>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</si>
  <si>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</si>
  <si>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</si>
  <si>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</si>
  <si>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</si>
  <si>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</si>
  <si>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</si>
  <si>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</si>
  <si>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</si>
  <si>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</si>
  <si>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</si>
  <si>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</si>
  <si>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</si>
  <si>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</si>
  <si>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</si>
  <si>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</si>
  <si>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</si>
  <si>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</si>
  <si>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</si>
  <si>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</si>
  <si>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</si>
  <si>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</si>
  <si>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</si>
  <si>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</si>
  <si>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</si>
  <si>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</si>
  <si>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</si>
  <si>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</si>
  <si>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</si>
  <si>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</si>
  <si>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</si>
  <si>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</si>
  <si>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</si>
  <si>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</si>
  <si>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</si>
  <si>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</si>
  <si>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27.05.2016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</si>
  <si>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26.05.16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</si>
</sst>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27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26" fillId="0" borderId="0">
      <alignment/>
      <protection/>
    </xf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6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7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7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8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79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102"/>
  <sheetViews>
    <sheetView tabSelected="1" zoomScale="87" zoomScaleNormal="8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3" sqref="D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2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168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162</v>
      </c>
      <c r="N3" s="278" t="s">
        <v>163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158</v>
      </c>
      <c r="F4" s="261" t="s">
        <v>34</v>
      </c>
      <c r="G4" s="255" t="s">
        <v>159</v>
      </c>
      <c r="H4" s="263" t="s">
        <v>160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169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161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353298.94</v>
      </c>
      <c r="G8" s="191">
        <f aca="true" t="shared" si="0" ref="G8:G21">F8-E8</f>
        <v>862.460000000021</v>
      </c>
      <c r="H8" s="192">
        <f>F8/E8*100</f>
        <v>100.24471360058982</v>
      </c>
      <c r="I8" s="193">
        <f>F8-D8</f>
        <v>-487751.06</v>
      </c>
      <c r="J8" s="193">
        <f>F8/D8*100</f>
        <v>42.00688900778788</v>
      </c>
      <c r="K8" s="191">
        <f>F8-252732.09</f>
        <v>100566.85</v>
      </c>
      <c r="L8" s="191">
        <f>F8/252732.09*100</f>
        <v>139.79188001017204</v>
      </c>
      <c r="M8" s="191">
        <f>M9+M15+M18+M19+M20+M36+M17</f>
        <v>80761.80000000002</v>
      </c>
      <c r="N8" s="191">
        <f>N9+N15+N18+N19+N20+N36+N17</f>
        <v>59168.31000000002</v>
      </c>
      <c r="O8" s="191">
        <f>N8-M8</f>
        <v>-21593.489999999998</v>
      </c>
      <c r="P8" s="191">
        <f>N8/M8*100</f>
        <v>73.26274302950158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186774.93</v>
      </c>
      <c r="G9" s="190">
        <f t="shared" si="0"/>
        <v>3872.6600000000035</v>
      </c>
      <c r="H9" s="197">
        <f>F9/E9*100</f>
        <v>102.11733840154089</v>
      </c>
      <c r="I9" s="198">
        <f>F9-D9</f>
        <v>-272925.07</v>
      </c>
      <c r="J9" s="198">
        <f>F9/D9*100</f>
        <v>40.629743310854906</v>
      </c>
      <c r="K9" s="199">
        <f>F9-138082.5</f>
        <v>48692.42999999999</v>
      </c>
      <c r="L9" s="199">
        <f>F9/138082.5*100</f>
        <v>135.2632882515887</v>
      </c>
      <c r="M9" s="197">
        <f>E9-квітень!E9</f>
        <v>37119</v>
      </c>
      <c r="N9" s="200">
        <f>F9-квітень!F9</f>
        <v>28737.130000000005</v>
      </c>
      <c r="O9" s="201">
        <f>N9-M9</f>
        <v>-8381.869999999995</v>
      </c>
      <c r="P9" s="198">
        <f>N9/M9*100</f>
        <v>77.41892292357015</v>
      </c>
      <c r="Q9" s="106"/>
      <c r="R9" s="107"/>
    </row>
    <row r="10" spans="1:18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164145.93</v>
      </c>
      <c r="G10" s="109">
        <f t="shared" si="0"/>
        <v>2300.0899999999965</v>
      </c>
      <c r="H10" s="32">
        <f aca="true" t="shared" si="1" ref="H10:H35">F10/E10*100</f>
        <v>101.42116102582557</v>
      </c>
      <c r="I10" s="110">
        <f aca="true" t="shared" si="2" ref="I10:I36">F10-D10</f>
        <v>-247294.07</v>
      </c>
      <c r="J10" s="110">
        <f aca="true" t="shared" si="3" ref="J10:J35">F10/D10*100</f>
        <v>39.89547200077775</v>
      </c>
      <c r="K10" s="112">
        <f>F10-122193.74</f>
        <v>41952.18999999999</v>
      </c>
      <c r="L10" s="112">
        <f>F10/122193.74*100</f>
        <v>134.33251981648158</v>
      </c>
      <c r="M10" s="111">
        <f>E10-квітень!E10</f>
        <v>30929</v>
      </c>
      <c r="N10" s="179">
        <f>F10-квітень!F10</f>
        <v>26329.940000000002</v>
      </c>
      <c r="O10" s="112">
        <f aca="true" t="shared" si="4" ref="O10:O36">N10-M10</f>
        <v>-4599.059999999998</v>
      </c>
      <c r="P10" s="198">
        <f aca="true" t="shared" si="5" ref="P10:P16">N10/M10*100</f>
        <v>85.1302660933105</v>
      </c>
      <c r="Q10" s="42"/>
      <c r="R10" s="100"/>
    </row>
    <row r="11" spans="1:18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13079</v>
      </c>
      <c r="G11" s="109">
        <f t="shared" si="0"/>
        <v>514.0599999999995</v>
      </c>
      <c r="H11" s="32">
        <f t="shared" si="1"/>
        <v>104.0912252664955</v>
      </c>
      <c r="I11" s="110">
        <f t="shared" si="2"/>
        <v>-9921</v>
      </c>
      <c r="J11" s="110">
        <f t="shared" si="3"/>
        <v>56.86521739130435</v>
      </c>
      <c r="K11" s="112">
        <f>F11-7771.39</f>
        <v>5307.61</v>
      </c>
      <c r="L11" s="112">
        <f>F11/7771.39*100</f>
        <v>168.2967911789268</v>
      </c>
      <c r="M11" s="111">
        <f>E11-квітень!E11</f>
        <v>3930</v>
      </c>
      <c r="N11" s="179">
        <f>F11-квітень!F11</f>
        <v>1591.4599999999991</v>
      </c>
      <c r="O11" s="112">
        <f t="shared" si="4"/>
        <v>-2338.540000000001</v>
      </c>
      <c r="P11" s="198">
        <f t="shared" si="5"/>
        <v>40.49516539440201</v>
      </c>
      <c r="Q11" s="42"/>
      <c r="R11" s="100"/>
    </row>
    <row r="12" spans="1:18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4543.43</v>
      </c>
      <c r="G12" s="109">
        <f t="shared" si="0"/>
        <v>2322.82</v>
      </c>
      <c r="H12" s="32">
        <f t="shared" si="1"/>
        <v>204.6027893236543</v>
      </c>
      <c r="I12" s="110">
        <f t="shared" si="2"/>
        <v>-1956.5699999999997</v>
      </c>
      <c r="J12" s="110">
        <f t="shared" si="3"/>
        <v>69.89892307692308</v>
      </c>
      <c r="K12" s="112">
        <f>F12-2169.03</f>
        <v>2374.4</v>
      </c>
      <c r="L12" s="112">
        <f>F12/2169.03*100</f>
        <v>209.46828766775934</v>
      </c>
      <c r="M12" s="111">
        <f>E12-квітень!E12</f>
        <v>530.0000000000002</v>
      </c>
      <c r="N12" s="179">
        <f>F12-квітень!F12</f>
        <v>447</v>
      </c>
      <c r="O12" s="112">
        <f t="shared" si="4"/>
        <v>-83.00000000000023</v>
      </c>
      <c r="P12" s="198">
        <f t="shared" si="5"/>
        <v>84.3396226415094</v>
      </c>
      <c r="Q12" s="42"/>
      <c r="R12" s="100"/>
    </row>
    <row r="13" spans="1:18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3581.33</v>
      </c>
      <c r="G13" s="109">
        <f t="shared" si="0"/>
        <v>-183.51000000000022</v>
      </c>
      <c r="H13" s="32">
        <f t="shared" si="1"/>
        <v>95.12568927231968</v>
      </c>
      <c r="I13" s="110">
        <f t="shared" si="2"/>
        <v>-8818.67</v>
      </c>
      <c r="J13" s="110">
        <f t="shared" si="3"/>
        <v>28.881693548387094</v>
      </c>
      <c r="K13" s="112">
        <f>F13-2303.67</f>
        <v>1277.6599999999999</v>
      </c>
      <c r="L13" s="112">
        <f>F13/2303.67*100</f>
        <v>155.46193682254835</v>
      </c>
      <c r="M13" s="111">
        <f>E13-квітень!E13</f>
        <v>1100</v>
      </c>
      <c r="N13" s="179">
        <f>F13-квітень!F13</f>
        <v>369.8499999999999</v>
      </c>
      <c r="O13" s="112">
        <f t="shared" si="4"/>
        <v>-730.1500000000001</v>
      </c>
      <c r="P13" s="198">
        <f t="shared" si="5"/>
        <v>33.62272727272727</v>
      </c>
      <c r="Q13" s="42"/>
      <c r="R13" s="100"/>
    </row>
    <row r="14" spans="1:18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1425.25</v>
      </c>
      <c r="G14" s="109">
        <f t="shared" si="0"/>
        <v>-1080.79</v>
      </c>
      <c r="H14" s="32">
        <f t="shared" si="1"/>
        <v>56.872595808526604</v>
      </c>
      <c r="I14" s="110">
        <f t="shared" si="2"/>
        <v>-4934.75</v>
      </c>
      <c r="J14" s="110">
        <f t="shared" si="3"/>
        <v>22.409591194968552</v>
      </c>
      <c r="K14" s="112">
        <f>F14-3644.66</f>
        <v>-2219.41</v>
      </c>
      <c r="L14" s="112">
        <f>F14/3644.66*100</f>
        <v>39.10515658525075</v>
      </c>
      <c r="M14" s="111">
        <f>E14-квітень!E14</f>
        <v>630</v>
      </c>
      <c r="N14" s="179">
        <f>F14-квітень!F14</f>
        <v>-1.1099999999999</v>
      </c>
      <c r="O14" s="112">
        <f t="shared" si="4"/>
        <v>-631.1099999999999</v>
      </c>
      <c r="P14" s="198">
        <f t="shared" si="5"/>
        <v>-0.1761904761904603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32511.57</v>
      </c>
      <c r="G19" s="190">
        <f t="shared" si="0"/>
        <v>-5548.830000000002</v>
      </c>
      <c r="H19" s="197">
        <f t="shared" si="1"/>
        <v>85.42098874420657</v>
      </c>
      <c r="I19" s="198">
        <f t="shared" si="2"/>
        <v>-77388.43</v>
      </c>
      <c r="J19" s="198">
        <f t="shared" si="3"/>
        <v>29.582866242038214</v>
      </c>
      <c r="K19" s="209">
        <f>F19-23140.48</f>
        <v>9371.09</v>
      </c>
      <c r="L19" s="209">
        <f>F19/23140.48*100</f>
        <v>140.4965238404735</v>
      </c>
      <c r="M19" s="197">
        <f>E19-квітень!E19</f>
        <v>9500</v>
      </c>
      <c r="N19" s="200">
        <f>F19-квітень!F19</f>
        <v>6492.939999999999</v>
      </c>
      <c r="O19" s="201">
        <f t="shared" si="4"/>
        <v>-3007.0600000000013</v>
      </c>
      <c r="P19" s="198">
        <f aca="true" t="shared" si="6" ref="P19:P24">N19/M19*100</f>
        <v>68.34673684210524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133597.23</v>
      </c>
      <c r="G20" s="190">
        <f t="shared" si="0"/>
        <v>2368.420000000013</v>
      </c>
      <c r="H20" s="197">
        <f t="shared" si="1"/>
        <v>101.80480185715317</v>
      </c>
      <c r="I20" s="198">
        <f t="shared" si="2"/>
        <v>-137342.77</v>
      </c>
      <c r="J20" s="198">
        <f t="shared" si="3"/>
        <v>49.30878792352551</v>
      </c>
      <c r="K20" s="198">
        <f>F20-88353.34</f>
        <v>45243.890000000014</v>
      </c>
      <c r="L20" s="198">
        <f>F20/88353.34*100</f>
        <v>151.2079000069494</v>
      </c>
      <c r="M20" s="197">
        <f>M21+M29+M30+M31</f>
        <v>34027.80000000001</v>
      </c>
      <c r="N20" s="200">
        <f>F20-квітень!F20</f>
        <v>23814.720000000016</v>
      </c>
      <c r="O20" s="201">
        <f t="shared" si="4"/>
        <v>-10213.079999999994</v>
      </c>
      <c r="P20" s="198">
        <f t="shared" si="6"/>
        <v>69.98607021317866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65201.04</v>
      </c>
      <c r="G21" s="190">
        <f t="shared" si="0"/>
        <v>104.77999999999884</v>
      </c>
      <c r="H21" s="197">
        <f t="shared" si="1"/>
        <v>100.16096162821029</v>
      </c>
      <c r="I21" s="198">
        <f t="shared" si="2"/>
        <v>-96198.95999999999</v>
      </c>
      <c r="J21" s="198">
        <f t="shared" si="3"/>
        <v>40.39717472118959</v>
      </c>
      <c r="K21" s="198">
        <f>F21-45791.35</f>
        <v>19409.690000000002</v>
      </c>
      <c r="L21" s="198">
        <f>F21/45791.35*100</f>
        <v>142.3872412584473</v>
      </c>
      <c r="M21" s="197">
        <f>M22+M25+M26</f>
        <v>13410</v>
      </c>
      <c r="N21" s="200">
        <f>F21-квітень!F21</f>
        <v>7164.790000000001</v>
      </c>
      <c r="O21" s="201">
        <f t="shared" si="4"/>
        <v>-6245.209999999999</v>
      </c>
      <c r="P21" s="198">
        <f t="shared" si="6"/>
        <v>53.42870991797167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8562.48</v>
      </c>
      <c r="G22" s="212">
        <f aca="true" t="shared" si="7" ref="G22:G29">F22-E22</f>
        <v>190.8799999999992</v>
      </c>
      <c r="H22" s="214">
        <f t="shared" si="1"/>
        <v>102.28008982751204</v>
      </c>
      <c r="I22" s="215">
        <f t="shared" si="2"/>
        <v>-9937.52</v>
      </c>
      <c r="J22" s="215">
        <f t="shared" si="3"/>
        <v>46.283675675675674</v>
      </c>
      <c r="K22" s="216">
        <f>F22-4439.46</f>
        <v>4123.0199999999995</v>
      </c>
      <c r="L22" s="216">
        <f>F22/4439.46*100</f>
        <v>192.87210606695407</v>
      </c>
      <c r="M22" s="214">
        <f>E22-квітень!E22</f>
        <v>1740</v>
      </c>
      <c r="N22" s="217">
        <f>F22-квітень!F22</f>
        <v>149.27000000000044</v>
      </c>
      <c r="O22" s="218">
        <f t="shared" si="4"/>
        <v>-1590.7299999999996</v>
      </c>
      <c r="P22" s="215">
        <f t="shared" si="6"/>
        <v>8.578735632183934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263.27</v>
      </c>
      <c r="G23" s="241">
        <f t="shared" si="7"/>
        <v>-85.83000000000004</v>
      </c>
      <c r="H23" s="242">
        <f t="shared" si="1"/>
        <v>75.4139215124606</v>
      </c>
      <c r="I23" s="243">
        <f t="shared" si="2"/>
        <v>-1736.73</v>
      </c>
      <c r="J23" s="243">
        <f t="shared" si="3"/>
        <v>13.1635</v>
      </c>
      <c r="K23" s="244">
        <f>F23-230.02</f>
        <v>33.24999999999997</v>
      </c>
      <c r="L23" s="244">
        <f>F23/230.02*100</f>
        <v>114.45526475958611</v>
      </c>
      <c r="M23" s="239">
        <f>E23-309.1</f>
        <v>40</v>
      </c>
      <c r="N23" s="239">
        <f>F23-252.55</f>
        <v>10.71999999999997</v>
      </c>
      <c r="O23" s="240">
        <f t="shared" si="4"/>
        <v>-29.28000000000003</v>
      </c>
      <c r="P23" s="240">
        <f t="shared" si="6"/>
        <v>26.799999999999923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8299.21</v>
      </c>
      <c r="G24" s="241">
        <f t="shared" si="7"/>
        <v>276.7099999999991</v>
      </c>
      <c r="H24" s="242">
        <f t="shared" si="1"/>
        <v>103.44917419756932</v>
      </c>
      <c r="I24" s="243">
        <f t="shared" si="2"/>
        <v>-8200.79</v>
      </c>
      <c r="J24" s="243">
        <f t="shared" si="3"/>
        <v>50.298242424242424</v>
      </c>
      <c r="K24" s="244">
        <f>F24-4209.44</f>
        <v>4089.7699999999995</v>
      </c>
      <c r="L24" s="244">
        <f>F24/4209.44*100</f>
        <v>197.1571040328405</v>
      </c>
      <c r="M24" s="239">
        <f>E24-6322.5</f>
        <v>1700</v>
      </c>
      <c r="N24" s="239">
        <f>F24-8160.66</f>
        <v>138.54999999999927</v>
      </c>
      <c r="O24" s="240">
        <f t="shared" si="4"/>
        <v>-1561.4500000000007</v>
      </c>
      <c r="P24" s="240">
        <f t="shared" si="6"/>
        <v>8.149999999999958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56218.48</v>
      </c>
      <c r="G26" s="212">
        <f t="shared" si="7"/>
        <v>-229.3399999999965</v>
      </c>
      <c r="H26" s="214">
        <f t="shared" si="1"/>
        <v>99.59371327360384</v>
      </c>
      <c r="I26" s="215">
        <f t="shared" si="2"/>
        <v>-83881.51999999999</v>
      </c>
      <c r="J26" s="215">
        <f t="shared" si="3"/>
        <v>40.12739471805853</v>
      </c>
      <c r="K26" s="216">
        <f>F26-41178.8</f>
        <v>15039.68</v>
      </c>
      <c r="L26" s="216">
        <f>F26/41178.8*100</f>
        <v>136.52287099186958</v>
      </c>
      <c r="M26" s="214">
        <f>E26-квітень!E24</f>
        <v>11670</v>
      </c>
      <c r="N26" s="217">
        <f>F26-квітень!F24</f>
        <v>6982.020000000004</v>
      </c>
      <c r="O26" s="218">
        <f t="shared" si="4"/>
        <v>-4687.979999999996</v>
      </c>
      <c r="P26" s="215">
        <f>N26/M26*100</f>
        <v>59.82879177377895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17017.53</v>
      </c>
      <c r="G27" s="241">
        <f t="shared" si="7"/>
        <v>1173.4799999999996</v>
      </c>
      <c r="H27" s="242">
        <f t="shared" si="1"/>
        <v>107.40643964137956</v>
      </c>
      <c r="I27" s="243">
        <f t="shared" si="2"/>
        <v>-21039.47</v>
      </c>
      <c r="J27" s="243">
        <f t="shared" si="3"/>
        <v>44.71589983445883</v>
      </c>
      <c r="K27" s="244">
        <f>F27-10374.12</f>
        <v>6643.409999999998</v>
      </c>
      <c r="L27" s="244">
        <f>F27/10374.12*100</f>
        <v>164.03829915212083</v>
      </c>
      <c r="M27" s="239">
        <f>E27-12724.05</f>
        <v>3120</v>
      </c>
      <c r="N27" s="239">
        <f>F27-15205.9</f>
        <v>1811.6299999999992</v>
      </c>
      <c r="O27" s="240">
        <f t="shared" si="4"/>
        <v>-1308.3700000000008</v>
      </c>
      <c r="P27" s="240">
        <f>N27/M27*100</f>
        <v>58.06506410256408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10043</v>
      </c>
      <c r="E28" s="241">
        <v>40603.77</v>
      </c>
      <c r="F28" s="203">
        <v>39200.95</v>
      </c>
      <c r="G28" s="241">
        <f t="shared" si="7"/>
        <v>-1402.8199999999997</v>
      </c>
      <c r="H28" s="242">
        <f t="shared" si="1"/>
        <v>96.54509913734611</v>
      </c>
      <c r="I28" s="243">
        <f t="shared" si="2"/>
        <v>29157.949999999997</v>
      </c>
      <c r="J28" s="243">
        <f t="shared" si="3"/>
        <v>390.3310763716021</v>
      </c>
      <c r="K28" s="244">
        <f>F28-30804.67</f>
        <v>8396.279999999999</v>
      </c>
      <c r="L28" s="244">
        <f>F28/30804.67*100</f>
        <v>127.25651662556359</v>
      </c>
      <c r="M28" s="239">
        <f>E28-32053.77</f>
        <v>8549.999999999996</v>
      </c>
      <c r="N28" s="239">
        <f>F28-34030.56</f>
        <v>5170.389999999999</v>
      </c>
      <c r="O28" s="240">
        <f t="shared" si="4"/>
        <v>-3379.609999999997</v>
      </c>
      <c r="P28" s="240">
        <f>N28/M28*100</f>
        <v>60.472397660818736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68454.77</v>
      </c>
      <c r="G31" s="202">
        <f t="shared" si="8"/>
        <v>2352.729999999996</v>
      </c>
      <c r="H31" s="204">
        <f t="shared" si="1"/>
        <v>103.55923962407212</v>
      </c>
      <c r="I31" s="205">
        <f t="shared" si="2"/>
        <v>-41008.229999999996</v>
      </c>
      <c r="J31" s="205">
        <f t="shared" si="3"/>
        <v>62.53690288042535</v>
      </c>
      <c r="K31" s="219">
        <f>F31-42734.29</f>
        <v>25720.480000000003</v>
      </c>
      <c r="L31" s="219">
        <f>F31/42734.29*100</f>
        <v>160.18698333352444</v>
      </c>
      <c r="M31" s="197">
        <f>E31-квітень!E27</f>
        <v>20606.80000000001</v>
      </c>
      <c r="N31" s="200">
        <f>F31-квітень!F27</f>
        <v>16634.210000000006</v>
      </c>
      <c r="O31" s="207">
        <f t="shared" si="4"/>
        <v>-3972.590000000004</v>
      </c>
      <c r="P31" s="205">
        <f>N31/M31*100</f>
        <v>80.72194615369683</v>
      </c>
      <c r="Q31" s="113"/>
      <c r="R31" s="114"/>
    </row>
    <row r="32" spans="1:18" s="6" customFormat="1" ht="15" hidden="1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 hidden="1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17476.21</v>
      </c>
      <c r="G33" s="109">
        <f t="shared" si="8"/>
        <v>720.239999999998</v>
      </c>
      <c r="H33" s="111">
        <f t="shared" si="1"/>
        <v>104.29840826881403</v>
      </c>
      <c r="I33" s="110">
        <f t="shared" si="2"/>
        <v>-10123.79</v>
      </c>
      <c r="J33" s="110">
        <f t="shared" si="3"/>
        <v>63.31960144927537</v>
      </c>
      <c r="K33" s="142">
        <f>F33-10825.45</f>
        <v>6650.759999999998</v>
      </c>
      <c r="L33" s="142">
        <f>F33/10825.45*100</f>
        <v>161.43633751945646</v>
      </c>
      <c r="M33" s="111">
        <f>E33-квітень!E29</f>
        <v>5500.000000000002</v>
      </c>
      <c r="N33" s="179">
        <f>F33-квітень!F29</f>
        <v>4991.449999999999</v>
      </c>
      <c r="O33" s="112">
        <f t="shared" si="4"/>
        <v>-508.5500000000029</v>
      </c>
      <c r="P33" s="110">
        <f>N33/M33*100</f>
        <v>90.75363636363632</v>
      </c>
      <c r="Q33" s="113"/>
      <c r="R33" s="114"/>
    </row>
    <row r="34" spans="1:18" s="6" customFormat="1" ht="15" hidden="1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50964.37</v>
      </c>
      <c r="G34" s="109">
        <f t="shared" si="8"/>
        <v>1628.2900000000009</v>
      </c>
      <c r="H34" s="111">
        <f t="shared" si="1"/>
        <v>103.30040408561037</v>
      </c>
      <c r="I34" s="110">
        <f t="shared" si="2"/>
        <v>-30847.629999999997</v>
      </c>
      <c r="J34" s="110">
        <f t="shared" si="3"/>
        <v>62.2944922505256</v>
      </c>
      <c r="K34" s="142">
        <f>F34-31903.08</f>
        <v>19061.29</v>
      </c>
      <c r="L34" s="142">
        <f>F34/31903.08*100</f>
        <v>159.74749146477393</v>
      </c>
      <c r="M34" s="111">
        <f>E34-квітень!E30</f>
        <v>15100</v>
      </c>
      <c r="N34" s="179">
        <f>F34-квітень!F30</f>
        <v>11642.760000000002</v>
      </c>
      <c r="O34" s="112">
        <f t="shared" si="4"/>
        <v>-3457.239999999998</v>
      </c>
      <c r="P34" s="110">
        <f>N34/M34*100</f>
        <v>77.10437086092716</v>
      </c>
      <c r="Q34" s="113"/>
      <c r="R34" s="114"/>
    </row>
    <row r="35" spans="1:18" s="6" customFormat="1" ht="15" hidden="1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 hidden="1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22515.35</v>
      </c>
      <c r="G37" s="191">
        <f>G38+G39+G40+G41+G42+G44+G46+G47+G48+G49+G50+G55+G56+G60</f>
        <v>4701.5199999999995</v>
      </c>
      <c r="H37" s="192">
        <f>F37/E37*100</f>
        <v>126.44079332712978</v>
      </c>
      <c r="I37" s="193">
        <f>F37-D37</f>
        <v>-20304.65</v>
      </c>
      <c r="J37" s="193">
        <f>F37/D37*100</f>
        <v>52.581387202241935</v>
      </c>
      <c r="K37" s="191">
        <f>F37-12995.52</f>
        <v>9519.829999999998</v>
      </c>
      <c r="L37" s="191">
        <f>F37/12995.52*100</f>
        <v>173.25470623722634</v>
      </c>
      <c r="M37" s="191">
        <f>M38+M39+M40+M41+M42+M44+M46+M47+M48+M49+M50+M55+M56+M60</f>
        <v>3561</v>
      </c>
      <c r="N37" s="191">
        <f>N38+N39+N40+N41+N42+N44+N46+N47+N48+N49+N50+N55+N56+N60+N43</f>
        <v>5754.706</v>
      </c>
      <c r="O37" s="191">
        <f>O38+O39+O40+O41+O42+O44+O46+O47+O48+O49+O50+O55+O56+O60</f>
        <v>2193.705999999999</v>
      </c>
      <c r="P37" s="191">
        <f>N37/M37*100</f>
        <v>161.60365065992698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64.04</v>
      </c>
      <c r="G44" s="202">
        <f t="shared" si="11"/>
        <v>32.040000000000006</v>
      </c>
      <c r="H44" s="204">
        <f t="shared" si="9"/>
        <v>200.12500000000003</v>
      </c>
      <c r="I44" s="205">
        <f t="shared" si="12"/>
        <v>-25.959999999999994</v>
      </c>
      <c r="J44" s="205">
        <f t="shared" si="14"/>
        <v>71.15555555555557</v>
      </c>
      <c r="K44" s="205">
        <f>F44-0</f>
        <v>64.04</v>
      </c>
      <c r="L44" s="205"/>
      <c r="M44" s="204">
        <f>E44-квітень!E40</f>
        <v>8</v>
      </c>
      <c r="N44" s="208">
        <f>F44-квітень!F40</f>
        <v>64.04</v>
      </c>
      <c r="O44" s="207">
        <f t="shared" si="13"/>
        <v>56.040000000000006</v>
      </c>
      <c r="P44" s="205">
        <f t="shared" si="10"/>
        <v>800.5000000000001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3867.07</v>
      </c>
      <c r="G46" s="202">
        <f t="shared" si="11"/>
        <v>128.05000000000018</v>
      </c>
      <c r="H46" s="204">
        <f t="shared" si="9"/>
        <v>103.42469417119995</v>
      </c>
      <c r="I46" s="205">
        <f t="shared" si="12"/>
        <v>-6032.93</v>
      </c>
      <c r="J46" s="205">
        <f t="shared" si="14"/>
        <v>39.061313131313135</v>
      </c>
      <c r="K46" s="205">
        <f>F46-4115.54</f>
        <v>-248.4699999999998</v>
      </c>
      <c r="L46" s="205">
        <f>F46/4115.54*100</f>
        <v>93.96263916764265</v>
      </c>
      <c r="M46" s="204">
        <f>E46-квітень!E42</f>
        <v>800</v>
      </c>
      <c r="N46" s="208">
        <f>F46-квітень!F42</f>
        <v>665.6600000000003</v>
      </c>
      <c r="O46" s="207">
        <f t="shared" si="13"/>
        <v>-134.3399999999997</v>
      </c>
      <c r="P46" s="205">
        <f t="shared" si="10"/>
        <v>83.20750000000004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29.88</v>
      </c>
      <c r="G47" s="202">
        <f t="shared" si="11"/>
        <v>-490.12</v>
      </c>
      <c r="H47" s="204">
        <f t="shared" si="9"/>
        <v>5.746153846153846</v>
      </c>
      <c r="I47" s="205">
        <f t="shared" si="12"/>
        <v>-1470.12</v>
      </c>
      <c r="J47" s="205">
        <f t="shared" si="14"/>
        <v>1.992</v>
      </c>
      <c r="K47" s="205">
        <f>F47-0</f>
        <v>29.88</v>
      </c>
      <c r="L47" s="205"/>
      <c r="M47" s="204">
        <f>E47-квітень!E43</f>
        <v>130</v>
      </c>
      <c r="N47" s="208">
        <f>F47-квітень!F43</f>
        <v>28.509999999999998</v>
      </c>
      <c r="O47" s="207">
        <f t="shared" si="13"/>
        <v>-101.49000000000001</v>
      </c>
      <c r="P47" s="205">
        <f t="shared" si="10"/>
        <v>21.93076923076923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2500.43</v>
      </c>
      <c r="G50" s="202">
        <f t="shared" si="11"/>
        <v>-52.76000000000022</v>
      </c>
      <c r="H50" s="204">
        <f t="shared" si="9"/>
        <v>97.9335654612465</v>
      </c>
      <c r="I50" s="205">
        <f t="shared" si="12"/>
        <v>-4799.57</v>
      </c>
      <c r="J50" s="205">
        <f t="shared" si="14"/>
        <v>34.25246575342465</v>
      </c>
      <c r="K50" s="205">
        <f>F50-3368.6</f>
        <v>-868.1700000000001</v>
      </c>
      <c r="L50" s="205">
        <f>F50/3368.6*100</f>
        <v>74.22757228522234</v>
      </c>
      <c r="M50" s="204">
        <f>E50-квітень!E46</f>
        <v>539</v>
      </c>
      <c r="N50" s="208">
        <f>F50-квітень!F46</f>
        <v>501.6899999999998</v>
      </c>
      <c r="O50" s="207">
        <f t="shared" si="13"/>
        <v>-37.31000000000017</v>
      </c>
      <c r="P50" s="205">
        <f t="shared" si="10"/>
        <v>93.07792207792205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350.61</v>
      </c>
      <c r="G51" s="36">
        <f t="shared" si="11"/>
        <v>-16.379999999999995</v>
      </c>
      <c r="H51" s="32">
        <f t="shared" si="9"/>
        <v>95.53666312433582</v>
      </c>
      <c r="I51" s="110">
        <f t="shared" si="12"/>
        <v>-749.39</v>
      </c>
      <c r="J51" s="110">
        <f t="shared" si="14"/>
        <v>31.873636363636365</v>
      </c>
      <c r="K51" s="110">
        <f>F51-397.7</f>
        <v>-47.089999999999975</v>
      </c>
      <c r="L51" s="110">
        <f>F51/397.7*100</f>
        <v>88.15941664571285</v>
      </c>
      <c r="M51" s="111">
        <f>E51-квітень!E47</f>
        <v>78</v>
      </c>
      <c r="N51" s="179">
        <f>F51-квітень!F47</f>
        <v>115.19000000000003</v>
      </c>
      <c r="O51" s="112">
        <f t="shared" si="13"/>
        <v>37.190000000000026</v>
      </c>
      <c r="P51" s="132">
        <f t="shared" si="10"/>
        <v>147.6794871794872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2149.58</v>
      </c>
      <c r="G54" s="36">
        <f t="shared" si="11"/>
        <v>-32.590000000000146</v>
      </c>
      <c r="H54" s="32">
        <f t="shared" si="9"/>
        <v>98.50653248830292</v>
      </c>
      <c r="I54" s="110">
        <f t="shared" si="12"/>
        <v>-4004.42</v>
      </c>
      <c r="J54" s="110">
        <f t="shared" si="14"/>
        <v>34.929801754956124</v>
      </c>
      <c r="K54" s="110">
        <f>F54-2925.43</f>
        <v>-775.8499999999999</v>
      </c>
      <c r="L54" s="110">
        <f>F54/2925.43*100</f>
        <v>73.47911247235449</v>
      </c>
      <c r="M54" s="111">
        <f>E54-квітень!E50</f>
        <v>460</v>
      </c>
      <c r="N54" s="179">
        <f>F54-квітень!F50</f>
        <v>386.41999999999985</v>
      </c>
      <c r="O54" s="112">
        <f t="shared" si="13"/>
        <v>-73.58000000000015</v>
      </c>
      <c r="P54" s="132">
        <f t="shared" si="10"/>
        <v>84.00434782608693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2274.75</v>
      </c>
      <c r="G56" s="202">
        <f t="shared" si="11"/>
        <v>406.77</v>
      </c>
      <c r="H56" s="204">
        <f t="shared" si="9"/>
        <v>121.77592907846979</v>
      </c>
      <c r="I56" s="205">
        <f t="shared" si="12"/>
        <v>-2525.25</v>
      </c>
      <c r="J56" s="205">
        <f t="shared" si="14"/>
        <v>47.390625</v>
      </c>
      <c r="K56" s="205">
        <f>F56-1827.87</f>
        <v>446.8800000000001</v>
      </c>
      <c r="L56" s="205">
        <f>F56/1827.87*100</f>
        <v>124.44812814915723</v>
      </c>
      <c r="M56" s="204">
        <f>E56-квітень!E52</f>
        <v>390</v>
      </c>
      <c r="N56" s="208">
        <f>F56-квітень!F52</f>
        <v>300.28999999999996</v>
      </c>
      <c r="O56" s="207">
        <f t="shared" si="13"/>
        <v>-89.71000000000004</v>
      </c>
      <c r="P56" s="205">
        <f t="shared" si="10"/>
        <v>76.99743589743588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v>477.4</v>
      </c>
      <c r="G58" s="202"/>
      <c r="H58" s="204"/>
      <c r="I58" s="205"/>
      <c r="J58" s="205"/>
      <c r="K58" s="206">
        <f>F58-430.9</f>
        <v>46.5</v>
      </c>
      <c r="L58" s="206">
        <f>F58/430.9*100</f>
        <v>110.79136690647482</v>
      </c>
      <c r="M58" s="236"/>
      <c r="N58" s="220">
        <f>F58-квітень!F54</f>
        <v>90.03999999999996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375828.21</v>
      </c>
      <c r="G63" s="191">
        <f>F63-E63</f>
        <v>5574.799999999988</v>
      </c>
      <c r="H63" s="192">
        <f>F63/E63*100</f>
        <v>101.50567148051384</v>
      </c>
      <c r="I63" s="193">
        <f>F63-D63</f>
        <v>-508072.38999999996</v>
      </c>
      <c r="J63" s="193">
        <f>F63/D63*100</f>
        <v>42.51928440822418</v>
      </c>
      <c r="K63" s="193">
        <f>F63-265734.15</f>
        <v>110094.06</v>
      </c>
      <c r="L63" s="193">
        <f>F63/265734.15*100</f>
        <v>141.43015114918424</v>
      </c>
      <c r="M63" s="191">
        <f>M8+M37+M61+M62</f>
        <v>84325.10000000002</v>
      </c>
      <c r="N63" s="191">
        <f>N8+N37+N61+N62</f>
        <v>64923.06600000002</v>
      </c>
      <c r="O63" s="195">
        <f>N63-M63</f>
        <v>-19402.034</v>
      </c>
      <c r="P63" s="193">
        <f>N63/M63*100</f>
        <v>76.99138927792556</v>
      </c>
      <c r="Q63" s="28">
        <f>N63-34768</f>
        <v>30155.06600000002</v>
      </c>
      <c r="R63" s="128">
        <f>N63/34768</f>
        <v>1.867322422917626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711.45</v>
      </c>
      <c r="G73" s="202">
        <f t="shared" si="15"/>
        <v>-1239.6599999999999</v>
      </c>
      <c r="H73" s="204">
        <f>F73/E73*100</f>
        <v>36.463859034088294</v>
      </c>
      <c r="I73" s="207">
        <f t="shared" si="16"/>
        <v>-6747.55</v>
      </c>
      <c r="J73" s="207">
        <f>F73/D73*100</f>
        <v>9.538141842069983</v>
      </c>
      <c r="K73" s="207">
        <f>F73-2467.51</f>
        <v>-1756.0600000000002</v>
      </c>
      <c r="L73" s="207">
        <f>F73/2467.51*100</f>
        <v>28.832709897832228</v>
      </c>
      <c r="M73" s="204">
        <f>E73-квітень!E69</f>
        <v>317.0999999999999</v>
      </c>
      <c r="N73" s="208">
        <f>F73-квітень!F69</f>
        <v>239.19000000000005</v>
      </c>
      <c r="O73" s="207">
        <f t="shared" si="17"/>
        <v>-77.90999999999985</v>
      </c>
      <c r="P73" s="207">
        <f>N73/M73*100</f>
        <v>75.43046357615899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10871.81</v>
      </c>
      <c r="G76" s="226">
        <f t="shared" si="15"/>
        <v>6511.85</v>
      </c>
      <c r="H76" s="227">
        <f>F76/E76*100</f>
        <v>249.3557280342022</v>
      </c>
      <c r="I76" s="228">
        <f t="shared" si="16"/>
        <v>-6799.1900000000005</v>
      </c>
      <c r="J76" s="228">
        <f>F76/D76*100</f>
        <v>61.523456510667195</v>
      </c>
      <c r="K76" s="228">
        <f>F76-4329.67</f>
        <v>6542.139999999999</v>
      </c>
      <c r="L76" s="228">
        <f>F76/4329.67*100</f>
        <v>251.1001993223502</v>
      </c>
      <c r="M76" s="226">
        <f>M72+M73+M74+M75</f>
        <v>1166.5</v>
      </c>
      <c r="N76" s="230">
        <f>N72+N73+N74+N75</f>
        <v>1284.5899999999997</v>
      </c>
      <c r="O76" s="228">
        <f t="shared" si="17"/>
        <v>118.08999999999969</v>
      </c>
      <c r="P76" s="228">
        <f>N76/M76*100</f>
        <v>110.1234462066009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3.19</v>
      </c>
      <c r="G77" s="202">
        <f t="shared" si="15"/>
        <v>3.19</v>
      </c>
      <c r="H77" s="204"/>
      <c r="I77" s="207">
        <f t="shared" si="16"/>
        <v>2.19</v>
      </c>
      <c r="J77" s="207"/>
      <c r="K77" s="207">
        <f>F77-0</f>
        <v>3.19</v>
      </c>
      <c r="L77" s="207"/>
      <c r="M77" s="204">
        <f>E77-квітень!E73</f>
        <v>0</v>
      </c>
      <c r="N77" s="208">
        <f>F77-квітень!F73</f>
        <v>0.1299999999999999</v>
      </c>
      <c r="O77" s="207">
        <f t="shared" si="17"/>
        <v>0.1299999999999999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4887.58</v>
      </c>
      <c r="G79" s="202">
        <f t="shared" si="15"/>
        <v>-229.42000000000007</v>
      </c>
      <c r="H79" s="204">
        <f>F79/E79*100</f>
        <v>95.51651358217705</v>
      </c>
      <c r="I79" s="207">
        <f t="shared" si="16"/>
        <v>-4612.42</v>
      </c>
      <c r="J79" s="207">
        <f>F79/D79*100</f>
        <v>51.44821052631578</v>
      </c>
      <c r="K79" s="207">
        <f>F79-0</f>
        <v>4887.58</v>
      </c>
      <c r="L79" s="207"/>
      <c r="M79" s="204">
        <f>E79-квітень!E75</f>
        <v>3096.3</v>
      </c>
      <c r="N79" s="208">
        <f>F79-квітень!F75</f>
        <v>2852.05</v>
      </c>
      <c r="O79" s="207">
        <f>N79-M79</f>
        <v>-244.25</v>
      </c>
      <c r="P79" s="231">
        <f>N79/M79*100</f>
        <v>92.11155249814294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0.57</v>
      </c>
      <c r="G80" s="202">
        <f t="shared" si="15"/>
        <v>0.57</v>
      </c>
      <c r="H80" s="204"/>
      <c r="I80" s="207">
        <f t="shared" si="16"/>
        <v>0.57</v>
      </c>
      <c r="J80" s="207"/>
      <c r="K80" s="207">
        <f>F80-0.95</f>
        <v>-0.38</v>
      </c>
      <c r="L80" s="207">
        <f>F80/0.95*100</f>
        <v>60</v>
      </c>
      <c r="M80" s="204">
        <f>E80-квітень!E76</f>
        <v>0</v>
      </c>
      <c r="N80" s="208">
        <f>F80-квітень!F76</f>
        <v>0.04999999999999993</v>
      </c>
      <c r="O80" s="207">
        <f t="shared" si="17"/>
        <v>0.04999999999999993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4891.34</v>
      </c>
      <c r="G81" s="224">
        <f>G77+G80+G78+G79</f>
        <v>-225.66000000000008</v>
      </c>
      <c r="H81" s="227">
        <f>F81/E81*100</f>
        <v>95.58999413718976</v>
      </c>
      <c r="I81" s="228">
        <f t="shared" si="16"/>
        <v>-4609.66</v>
      </c>
      <c r="J81" s="228">
        <f>F81/D81*100</f>
        <v>51.48237027681297</v>
      </c>
      <c r="K81" s="228">
        <f>F81-0.95</f>
        <v>4890.39</v>
      </c>
      <c r="L81" s="228">
        <f>F81/0.95*100</f>
        <v>514877.89473684214</v>
      </c>
      <c r="M81" s="226">
        <f>M77+M80+M78+M79</f>
        <v>3096.3</v>
      </c>
      <c r="N81" s="230">
        <f>N77+N80+N78+N79</f>
        <v>2852.23</v>
      </c>
      <c r="O81" s="226">
        <f>O77+O80+O78+O79</f>
        <v>-244.07</v>
      </c>
      <c r="P81" s="228">
        <f>N81/M81*100</f>
        <v>92.11736588831832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15772.08</v>
      </c>
      <c r="G84" s="233">
        <f>F84-E84</f>
        <v>6281.3200000000015</v>
      </c>
      <c r="H84" s="234">
        <f>F84/E84*100</f>
        <v>166.18353008610484</v>
      </c>
      <c r="I84" s="235">
        <f>F84-D84</f>
        <v>-11442.92</v>
      </c>
      <c r="J84" s="235">
        <f>F84/D84*100</f>
        <v>57.953628513687306</v>
      </c>
      <c r="K84" s="235">
        <f>F84-4325.48</f>
        <v>11446.6</v>
      </c>
      <c r="L84" s="235">
        <f>F84/4325.48*100</f>
        <v>364.63190212415736</v>
      </c>
      <c r="M84" s="232">
        <f>M70+M82+M76+M81</f>
        <v>4263.46</v>
      </c>
      <c r="N84" s="232">
        <f>N70+N82+N76+N81+N83</f>
        <v>4132.33</v>
      </c>
      <c r="O84" s="235">
        <f t="shared" si="17"/>
        <v>-131.1300000000001</v>
      </c>
      <c r="P84" s="235">
        <f>N84/M84*100</f>
        <v>96.9243290660637</v>
      </c>
      <c r="Q84" s="28">
        <f>N84-8104.96</f>
        <v>-3972.63</v>
      </c>
      <c r="R84" s="101">
        <f>N84/8104.96</f>
        <v>0.5098519918667088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391600.29000000004</v>
      </c>
      <c r="G85" s="233">
        <f>F85-E85</f>
        <v>11856.119999999995</v>
      </c>
      <c r="H85" s="234">
        <f>F85/E85*100</f>
        <v>103.12213351425514</v>
      </c>
      <c r="I85" s="235">
        <f>F85-D85</f>
        <v>-519515.30999999994</v>
      </c>
      <c r="J85" s="235">
        <f>F85/D85*100</f>
        <v>42.980307877507535</v>
      </c>
      <c r="K85" s="235">
        <f>F85-265734.15-4325.48</f>
        <v>121540.66000000002</v>
      </c>
      <c r="L85" s="235">
        <f>F85/(265734.15+4325.48)*100</f>
        <v>145.00511979520968</v>
      </c>
      <c r="M85" s="233">
        <f>M63+M84</f>
        <v>88588.56000000003</v>
      </c>
      <c r="N85" s="233">
        <f>N63+N84</f>
        <v>69055.39600000002</v>
      </c>
      <c r="O85" s="235">
        <f t="shared" si="17"/>
        <v>-19533.164000000004</v>
      </c>
      <c r="P85" s="235">
        <f>N85/M85*100</f>
        <v>77.95069250476585</v>
      </c>
      <c r="Q85" s="28">
        <f>N85-42872.96</f>
        <v>26182.436000000023</v>
      </c>
      <c r="R85" s="101">
        <f>N85/42872.96</f>
        <v>1.610698118347789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3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6467.344666666667</v>
      </c>
      <c r="D88" s="4" t="s">
        <v>24</v>
      </c>
      <c r="G88" s="260"/>
      <c r="H88" s="260"/>
      <c r="I88" s="260"/>
      <c r="J88" s="260"/>
      <c r="K88" s="90"/>
      <c r="L88" s="90"/>
      <c r="P88" s="26"/>
      <c r="Q88" s="26"/>
    </row>
    <row r="89" spans="2:15" ht="34.5" customHeight="1">
      <c r="B89" s="58" t="s">
        <v>56</v>
      </c>
      <c r="C89" s="87">
        <v>42516</v>
      </c>
      <c r="D89" s="31">
        <v>2305.1</v>
      </c>
      <c r="G89" s="4" t="s">
        <v>59</v>
      </c>
      <c r="N89" s="253"/>
      <c r="O89" s="253"/>
    </row>
    <row r="90" spans="3:15" ht="15">
      <c r="C90" s="87">
        <v>42515</v>
      </c>
      <c r="D90" s="31">
        <v>4114.2</v>
      </c>
      <c r="F90" s="124" t="s">
        <v>59</v>
      </c>
      <c r="G90" s="247"/>
      <c r="H90" s="247"/>
      <c r="I90" s="131"/>
      <c r="J90" s="250"/>
      <c r="K90" s="250"/>
      <c r="L90" s="250"/>
      <c r="M90" s="250"/>
      <c r="N90" s="253"/>
      <c r="O90" s="253"/>
    </row>
    <row r="91" spans="3:15" ht="15.75" customHeight="1">
      <c r="C91" s="87">
        <v>42514</v>
      </c>
      <c r="D91" s="31">
        <v>3638.2</v>
      </c>
      <c r="F91" s="73"/>
      <c r="G91" s="247"/>
      <c r="H91" s="247"/>
      <c r="I91" s="131"/>
      <c r="J91" s="254"/>
      <c r="K91" s="254"/>
      <c r="L91" s="254"/>
      <c r="M91" s="254"/>
      <c r="N91" s="253"/>
      <c r="O91" s="253"/>
    </row>
    <row r="92" spans="3:13" ht="15.75" customHeight="1">
      <c r="C92" s="87"/>
      <c r="F92" s="73"/>
      <c r="G92" s="249"/>
      <c r="H92" s="249"/>
      <c r="I92" s="139"/>
      <c r="J92" s="250"/>
      <c r="K92" s="250"/>
      <c r="L92" s="250"/>
      <c r="M92" s="250"/>
    </row>
    <row r="93" spans="2:13" ht="18.75" customHeight="1">
      <c r="B93" s="251" t="s">
        <v>57</v>
      </c>
      <c r="C93" s="252"/>
      <c r="D93" s="148">
        <v>23.33772</v>
      </c>
      <c r="E93" s="74"/>
      <c r="F93" s="140" t="s">
        <v>137</v>
      </c>
      <c r="G93" s="247"/>
      <c r="H93" s="247"/>
      <c r="I93" s="141"/>
      <c r="J93" s="250"/>
      <c r="K93" s="250"/>
      <c r="L93" s="250"/>
      <c r="M93" s="250"/>
    </row>
    <row r="94" spans="6:12" ht="9.75" customHeight="1">
      <c r="F94" s="73"/>
      <c r="G94" s="247"/>
      <c r="H94" s="247"/>
      <c r="I94" s="73"/>
      <c r="J94" s="74"/>
      <c r="K94" s="74"/>
      <c r="L94" s="74"/>
    </row>
    <row r="95" spans="2:12" ht="22.5" customHeight="1" hidden="1">
      <c r="B95" s="245" t="s">
        <v>60</v>
      </c>
      <c r="C95" s="246"/>
      <c r="D95" s="86">
        <v>0</v>
      </c>
      <c r="E95" s="56" t="s">
        <v>24</v>
      </c>
      <c r="F95" s="73"/>
      <c r="G95" s="247"/>
      <c r="H95" s="247"/>
      <c r="I95" s="73"/>
      <c r="J95" s="74"/>
      <c r="K95" s="74"/>
      <c r="L95" s="74"/>
    </row>
    <row r="96" spans="4:15" ht="15" hidden="1">
      <c r="D96" s="73">
        <f>D44+D47+D48</f>
        <v>1640</v>
      </c>
      <c r="E96" s="73">
        <f>E44+E47+E48</f>
        <v>568</v>
      </c>
      <c r="F96" s="73">
        <f>F44+F47+F48</f>
        <v>101.64</v>
      </c>
      <c r="G96" s="74"/>
      <c r="H96" s="74"/>
      <c r="I96" s="74"/>
      <c r="N96" s="247"/>
      <c r="O96" s="247"/>
    </row>
    <row r="97" spans="4:15" ht="15">
      <c r="D97" s="83"/>
      <c r="I97" s="31"/>
      <c r="N97" s="248"/>
      <c r="O97" s="248"/>
    </row>
    <row r="98" spans="14:15" ht="15">
      <c r="N98" s="247"/>
      <c r="O98" s="247"/>
    </row>
    <row r="102" ht="15">
      <c r="E102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4:H94"/>
    <mergeCell ref="G90:H90"/>
    <mergeCell ref="J90:M90"/>
    <mergeCell ref="N90:O90"/>
    <mergeCell ref="G91:H91"/>
    <mergeCell ref="J91:M91"/>
    <mergeCell ref="N91:O91"/>
    <mergeCell ref="B95:C95"/>
    <mergeCell ref="G95:H95"/>
    <mergeCell ref="N96:O96"/>
    <mergeCell ref="N97:O97"/>
    <mergeCell ref="N98:O98"/>
    <mergeCell ref="G92:H92"/>
    <mergeCell ref="J92:M92"/>
    <mergeCell ref="B93:C93"/>
    <mergeCell ref="G93:H93"/>
    <mergeCell ref="J93:M93"/>
  </mergeCells>
  <printOptions/>
  <pageMargins left="0" right="0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4" sqref="E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156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153</v>
      </c>
      <c r="N3" s="278" t="s">
        <v>154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150</v>
      </c>
      <c r="F4" s="261" t="s">
        <v>34</v>
      </c>
      <c r="G4" s="255" t="s">
        <v>151</v>
      </c>
      <c r="H4" s="263" t="s">
        <v>152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157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155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260"/>
      <c r="H84" s="260"/>
      <c r="I84" s="260"/>
      <c r="J84" s="260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253"/>
      <c r="O85" s="253"/>
    </row>
    <row r="86" spans="3:15" ht="15">
      <c r="C86" s="87">
        <v>42488</v>
      </c>
      <c r="D86" s="31">
        <v>11419.7</v>
      </c>
      <c r="F86" s="124" t="s">
        <v>59</v>
      </c>
      <c r="G86" s="247"/>
      <c r="H86" s="247"/>
      <c r="I86" s="131"/>
      <c r="J86" s="250"/>
      <c r="K86" s="250"/>
      <c r="L86" s="250"/>
      <c r="M86" s="250"/>
      <c r="N86" s="253"/>
      <c r="O86" s="253"/>
    </row>
    <row r="87" spans="3:15" ht="15.75" customHeight="1">
      <c r="C87" s="87">
        <v>42487</v>
      </c>
      <c r="D87" s="31">
        <v>7800.7</v>
      </c>
      <c r="F87" s="73"/>
      <c r="G87" s="247"/>
      <c r="H87" s="247"/>
      <c r="I87" s="131"/>
      <c r="J87" s="254"/>
      <c r="K87" s="254"/>
      <c r="L87" s="254"/>
      <c r="M87" s="254"/>
      <c r="N87" s="253"/>
      <c r="O87" s="253"/>
    </row>
    <row r="88" spans="3:13" ht="15.75" customHeight="1">
      <c r="C88" s="87"/>
      <c r="F88" s="73"/>
      <c r="G88" s="249"/>
      <c r="H88" s="249"/>
      <c r="I88" s="139"/>
      <c r="J88" s="250"/>
      <c r="K88" s="250"/>
      <c r="L88" s="250"/>
      <c r="M88" s="250"/>
    </row>
    <row r="89" spans="2:13" ht="18.75" customHeight="1">
      <c r="B89" s="251" t="s">
        <v>57</v>
      </c>
      <c r="C89" s="252"/>
      <c r="D89" s="148">
        <v>9087.9705</v>
      </c>
      <c r="E89" s="74"/>
      <c r="F89" s="140" t="s">
        <v>137</v>
      </c>
      <c r="G89" s="247"/>
      <c r="H89" s="247"/>
      <c r="I89" s="141"/>
      <c r="J89" s="250"/>
      <c r="K89" s="250"/>
      <c r="L89" s="250"/>
      <c r="M89" s="250"/>
    </row>
    <row r="90" spans="6:12" ht="9.75" customHeight="1">
      <c r="F90" s="73"/>
      <c r="G90" s="247"/>
      <c r="H90" s="247"/>
      <c r="I90" s="73"/>
      <c r="J90" s="74"/>
      <c r="K90" s="74"/>
      <c r="L90" s="74"/>
    </row>
    <row r="91" spans="2:12" ht="22.5" customHeight="1" hidden="1">
      <c r="B91" s="245" t="s">
        <v>60</v>
      </c>
      <c r="C91" s="246"/>
      <c r="D91" s="86">
        <v>0</v>
      </c>
      <c r="E91" s="56" t="s">
        <v>24</v>
      </c>
      <c r="F91" s="73"/>
      <c r="G91" s="247"/>
      <c r="H91" s="247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247"/>
      <c r="O92" s="247"/>
    </row>
    <row r="93" spans="4:15" ht="15">
      <c r="D93" s="83"/>
      <c r="I93" s="31"/>
      <c r="N93" s="248"/>
      <c r="O93" s="248"/>
    </row>
    <row r="94" spans="14:15" ht="15">
      <c r="N94" s="247"/>
      <c r="O94" s="247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267" t="s">
        <v>148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77" t="s">
        <v>147</v>
      </c>
      <c r="N3" s="278" t="s">
        <v>143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146</v>
      </c>
      <c r="F4" s="261" t="s">
        <v>34</v>
      </c>
      <c r="G4" s="255" t="s">
        <v>141</v>
      </c>
      <c r="H4" s="263" t="s">
        <v>142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149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8.7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144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253"/>
      <c r="O84" s="253"/>
    </row>
    <row r="85" spans="3:15" ht="15">
      <c r="C85" s="87">
        <v>42459</v>
      </c>
      <c r="D85" s="31">
        <v>7576.3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42458</v>
      </c>
      <c r="D86" s="31">
        <v>9190.1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f>4343.7</f>
        <v>4343.7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139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/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128</v>
      </c>
      <c r="N3" s="278" t="s">
        <v>119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127</v>
      </c>
      <c r="F4" s="261" t="s">
        <v>34</v>
      </c>
      <c r="G4" s="255" t="s">
        <v>116</v>
      </c>
      <c r="H4" s="263" t="s">
        <v>117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65" t="s">
        <v>140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118</v>
      </c>
      <c r="L5" s="259"/>
      <c r="M5" s="264"/>
      <c r="N5" s="266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253"/>
      <c r="O84" s="253"/>
    </row>
    <row r="85" spans="3:15" ht="15">
      <c r="C85" s="87">
        <v>42426</v>
      </c>
      <c r="D85" s="31">
        <v>6256.2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42425</v>
      </c>
      <c r="D86" s="31">
        <v>3536.9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505.3</v>
      </c>
      <c r="E88" s="74"/>
      <c r="F88" s="140" t="s">
        <v>137</v>
      </c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2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135</v>
      </c>
      <c r="C3" s="272" t="s">
        <v>0</v>
      </c>
      <c r="D3" s="273" t="s">
        <v>121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132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129</v>
      </c>
      <c r="F4" s="261" t="s">
        <v>34</v>
      </c>
      <c r="G4" s="255" t="s">
        <v>130</v>
      </c>
      <c r="H4" s="263" t="s">
        <v>131</v>
      </c>
      <c r="I4" s="255" t="s">
        <v>122</v>
      </c>
      <c r="J4" s="263" t="s">
        <v>123</v>
      </c>
      <c r="K4" s="91" t="s">
        <v>65</v>
      </c>
      <c r="L4" s="96" t="s">
        <v>64</v>
      </c>
      <c r="M4" s="263"/>
      <c r="N4" s="282" t="s">
        <v>133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92.25" customHeight="1">
      <c r="A5" s="270"/>
      <c r="B5" s="271"/>
      <c r="C5" s="272"/>
      <c r="D5" s="273"/>
      <c r="E5" s="280"/>
      <c r="F5" s="262"/>
      <c r="G5" s="256"/>
      <c r="H5" s="264"/>
      <c r="I5" s="256"/>
      <c r="J5" s="264"/>
      <c r="K5" s="258" t="s">
        <v>134</v>
      </c>
      <c r="L5" s="259"/>
      <c r="M5" s="264"/>
      <c r="N5" s="283"/>
      <c r="O5" s="256"/>
      <c r="P5" s="257"/>
      <c r="Q5" s="258" t="s">
        <v>120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60"/>
      <c r="H83" s="260"/>
      <c r="I83" s="260"/>
      <c r="J83" s="260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53"/>
      <c r="O84" s="253"/>
    </row>
    <row r="85" spans="3:15" ht="15">
      <c r="C85" s="87">
        <v>42397</v>
      </c>
      <c r="D85" s="31">
        <v>8685</v>
      </c>
      <c r="F85" s="124" t="s">
        <v>59</v>
      </c>
      <c r="G85" s="247"/>
      <c r="H85" s="247"/>
      <c r="I85" s="131"/>
      <c r="J85" s="250"/>
      <c r="K85" s="250"/>
      <c r="L85" s="250"/>
      <c r="M85" s="250"/>
      <c r="N85" s="253"/>
      <c r="O85" s="253"/>
    </row>
    <row r="86" spans="3:15" ht="15.75" customHeight="1">
      <c r="C86" s="87">
        <v>42396</v>
      </c>
      <c r="D86" s="31">
        <v>4820.3</v>
      </c>
      <c r="F86" s="73"/>
      <c r="G86" s="247"/>
      <c r="H86" s="247"/>
      <c r="I86" s="131"/>
      <c r="J86" s="254"/>
      <c r="K86" s="254"/>
      <c r="L86" s="254"/>
      <c r="M86" s="254"/>
      <c r="N86" s="253"/>
      <c r="O86" s="253"/>
    </row>
    <row r="87" spans="3:13" ht="15.75" customHeight="1">
      <c r="C87" s="87"/>
      <c r="F87" s="73"/>
      <c r="G87" s="249"/>
      <c r="H87" s="249"/>
      <c r="I87" s="139"/>
      <c r="J87" s="250"/>
      <c r="K87" s="250"/>
      <c r="L87" s="250"/>
      <c r="M87" s="250"/>
    </row>
    <row r="88" spans="2:13" ht="18.75" customHeight="1">
      <c r="B88" s="251" t="s">
        <v>57</v>
      </c>
      <c r="C88" s="252"/>
      <c r="D88" s="148">
        <v>300.92</v>
      </c>
      <c r="E88" s="74"/>
      <c r="F88" s="140"/>
      <c r="G88" s="247"/>
      <c r="H88" s="247"/>
      <c r="I88" s="141"/>
      <c r="J88" s="250"/>
      <c r="K88" s="250"/>
      <c r="L88" s="250"/>
      <c r="M88" s="250"/>
    </row>
    <row r="89" spans="6:12" ht="9.75" customHeight="1">
      <c r="F89" s="73"/>
      <c r="G89" s="247"/>
      <c r="H89" s="247"/>
      <c r="I89" s="73"/>
      <c r="J89" s="74"/>
      <c r="K89" s="74"/>
      <c r="L89" s="74"/>
    </row>
    <row r="90" spans="2:12" ht="22.5" customHeight="1" hidden="1">
      <c r="B90" s="245" t="s">
        <v>60</v>
      </c>
      <c r="C90" s="246"/>
      <c r="D90" s="86">
        <v>0</v>
      </c>
      <c r="E90" s="56" t="s">
        <v>24</v>
      </c>
      <c r="F90" s="73"/>
      <c r="G90" s="247"/>
      <c r="H90" s="247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47"/>
      <c r="O91" s="247"/>
    </row>
    <row r="92" spans="4:15" ht="15">
      <c r="D92" s="83"/>
      <c r="I92" s="31"/>
      <c r="N92" s="248"/>
      <c r="O92" s="248"/>
    </row>
    <row r="93" spans="14:15" ht="15">
      <c r="N93" s="247"/>
      <c r="O93" s="247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F4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267" t="s">
        <v>114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92"/>
      <c r="R1" s="93"/>
    </row>
    <row r="2" spans="2:18" s="1" customFormat="1" ht="15.75" customHeight="1">
      <c r="B2" s="268"/>
      <c r="C2" s="268"/>
      <c r="D2" s="26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269"/>
      <c r="B3" s="271" t="s">
        <v>136</v>
      </c>
      <c r="C3" s="272" t="s">
        <v>0</v>
      </c>
      <c r="D3" s="273" t="s">
        <v>115</v>
      </c>
      <c r="E3" s="34"/>
      <c r="F3" s="274" t="s">
        <v>26</v>
      </c>
      <c r="G3" s="275"/>
      <c r="H3" s="275"/>
      <c r="I3" s="275"/>
      <c r="J3" s="276"/>
      <c r="K3" s="89"/>
      <c r="L3" s="89"/>
      <c r="M3" s="281" t="s">
        <v>107</v>
      </c>
      <c r="N3" s="278" t="s">
        <v>66</v>
      </c>
      <c r="O3" s="278"/>
      <c r="P3" s="278"/>
      <c r="Q3" s="278"/>
      <c r="R3" s="278"/>
    </row>
    <row r="4" spans="1:18" ht="22.5" customHeight="1">
      <c r="A4" s="269"/>
      <c r="B4" s="271"/>
      <c r="C4" s="272"/>
      <c r="D4" s="273"/>
      <c r="E4" s="279" t="s">
        <v>104</v>
      </c>
      <c r="F4" s="284" t="s">
        <v>34</v>
      </c>
      <c r="G4" s="255" t="s">
        <v>109</v>
      </c>
      <c r="H4" s="263" t="s">
        <v>110</v>
      </c>
      <c r="I4" s="255" t="s">
        <v>105</v>
      </c>
      <c r="J4" s="263" t="s">
        <v>106</v>
      </c>
      <c r="K4" s="91" t="s">
        <v>65</v>
      </c>
      <c r="L4" s="96" t="s">
        <v>64</v>
      </c>
      <c r="M4" s="263"/>
      <c r="N4" s="282" t="s">
        <v>103</v>
      </c>
      <c r="O4" s="255" t="s">
        <v>50</v>
      </c>
      <c r="P4" s="257" t="s">
        <v>49</v>
      </c>
      <c r="Q4" s="97" t="s">
        <v>65</v>
      </c>
      <c r="R4" s="98" t="s">
        <v>64</v>
      </c>
    </row>
    <row r="5" spans="1:18" ht="76.5" customHeight="1">
      <c r="A5" s="270"/>
      <c r="B5" s="271"/>
      <c r="C5" s="272"/>
      <c r="D5" s="273"/>
      <c r="E5" s="280"/>
      <c r="F5" s="285"/>
      <c r="G5" s="256"/>
      <c r="H5" s="264"/>
      <c r="I5" s="256"/>
      <c r="J5" s="264"/>
      <c r="K5" s="258" t="s">
        <v>108</v>
      </c>
      <c r="L5" s="259"/>
      <c r="M5" s="264"/>
      <c r="N5" s="283"/>
      <c r="O5" s="256"/>
      <c r="P5" s="257"/>
      <c r="Q5" s="258" t="s">
        <v>126</v>
      </c>
      <c r="R5" s="259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60"/>
      <c r="H82" s="260"/>
      <c r="I82" s="260"/>
      <c r="J82" s="260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53"/>
      <c r="O83" s="253"/>
    </row>
    <row r="84" spans="3:15" ht="15">
      <c r="C84" s="87">
        <v>42397</v>
      </c>
      <c r="D84" s="31">
        <v>8685</v>
      </c>
      <c r="F84" s="166" t="s">
        <v>59</v>
      </c>
      <c r="G84" s="247"/>
      <c r="H84" s="247"/>
      <c r="I84" s="131"/>
      <c r="J84" s="250"/>
      <c r="K84" s="250"/>
      <c r="L84" s="250"/>
      <c r="M84" s="250"/>
      <c r="N84" s="253"/>
      <c r="O84" s="253"/>
    </row>
    <row r="85" spans="3:15" ht="15.75" customHeight="1">
      <c r="C85" s="87">
        <v>42396</v>
      </c>
      <c r="D85" s="31">
        <v>4820.3</v>
      </c>
      <c r="F85" s="167"/>
      <c r="G85" s="247"/>
      <c r="H85" s="247"/>
      <c r="I85" s="131"/>
      <c r="J85" s="254"/>
      <c r="K85" s="254"/>
      <c r="L85" s="254"/>
      <c r="M85" s="254"/>
      <c r="N85" s="253"/>
      <c r="O85" s="253"/>
    </row>
    <row r="86" spans="3:13" ht="15.75" customHeight="1">
      <c r="C86" s="87"/>
      <c r="F86" s="167"/>
      <c r="G86" s="249"/>
      <c r="H86" s="249"/>
      <c r="I86" s="139"/>
      <c r="J86" s="250"/>
      <c r="K86" s="250"/>
      <c r="L86" s="250"/>
      <c r="M86" s="250"/>
    </row>
    <row r="87" spans="2:13" ht="18.75" customHeight="1">
      <c r="B87" s="251" t="s">
        <v>57</v>
      </c>
      <c r="C87" s="252"/>
      <c r="D87" s="148">
        <v>300.92</v>
      </c>
      <c r="E87" s="74"/>
      <c r="F87" s="168"/>
      <c r="G87" s="247"/>
      <c r="H87" s="247"/>
      <c r="I87" s="141"/>
      <c r="J87" s="250"/>
      <c r="K87" s="250"/>
      <c r="L87" s="250"/>
      <c r="M87" s="250"/>
    </row>
    <row r="88" spans="6:12" ht="9.75" customHeight="1">
      <c r="F88" s="167"/>
      <c r="G88" s="247"/>
      <c r="H88" s="247"/>
      <c r="I88" s="73"/>
      <c r="J88" s="74"/>
      <c r="K88" s="74"/>
      <c r="L88" s="74"/>
    </row>
    <row r="89" spans="2:12" ht="22.5" customHeight="1" hidden="1">
      <c r="B89" s="245" t="s">
        <v>60</v>
      </c>
      <c r="C89" s="246"/>
      <c r="D89" s="86">
        <v>0</v>
      </c>
      <c r="E89" s="56" t="s">
        <v>24</v>
      </c>
      <c r="F89" s="167"/>
      <c r="G89" s="247"/>
      <c r="H89" s="247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47"/>
      <c r="O90" s="247"/>
    </row>
    <row r="91" spans="4:15" ht="15">
      <c r="D91" s="83"/>
      <c r="I91" s="31"/>
      <c r="N91" s="248"/>
      <c r="O91" s="248"/>
    </row>
    <row r="92" spans="14:15" ht="15">
      <c r="N92" s="247"/>
      <c r="O92" s="247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2016-05-27T08:09:04Z</cp:lastPrinted>
  <dcterms:created xsi:type="dcterms:W3CDTF">2003-07-28T11:27:56Z</dcterms:created>
  <dcterms:modified xsi:type="dcterms:W3CDTF">2016-05-27T08:37:05Z</dcterms:modified>
  <cp:category/>
  <cp:version/>
  <cp:contentType/>
  <cp:contentStatus/>
</cp:coreProperties>
</file>